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2025 YILI MECLİS\11-KASIM\"/>
    </mc:Choice>
  </mc:AlternateContent>
  <xr:revisionPtr revIDLastSave="0" documentId="13_ncr:1_{41859430-0D51-4173-8C2C-2E2C0B7603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ıatık2025" sheetId="9" r:id="rId1"/>
    <sheet name="işçilik 2025" sheetId="2" r:id="rId2"/>
    <sheet name="araç 2025" sheetId="3" r:id="rId3"/>
    <sheet name="ZONÇEB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9" l="1"/>
  <c r="C2" i="9"/>
  <c r="B7" i="2"/>
  <c r="F6" i="2"/>
  <c r="G6" i="2" s="1"/>
  <c r="E6" i="2"/>
  <c r="F5" i="2"/>
  <c r="E5" i="2"/>
  <c r="G5" i="2" s="1"/>
  <c r="F4" i="2"/>
  <c r="E4" i="2"/>
  <c r="G4" i="2" s="1"/>
  <c r="D41" i="3"/>
  <c r="B32" i="3"/>
  <c r="B33" i="3" s="1"/>
  <c r="B27" i="3"/>
  <c r="G7" i="2" l="1"/>
  <c r="D27" i="3"/>
  <c r="E27" i="3" s="1"/>
  <c r="G12" i="3" l="1"/>
  <c r="D15" i="3"/>
  <c r="D16" i="3"/>
  <c r="D17" i="3"/>
  <c r="D18" i="3"/>
  <c r="D14" i="3"/>
  <c r="D4" i="3"/>
  <c r="D5" i="3"/>
  <c r="D6" i="3"/>
  <c r="D7" i="3"/>
  <c r="D3" i="3"/>
  <c r="D20" i="3" l="1"/>
  <c r="D16" i="10"/>
  <c r="D17" i="10" s="1"/>
  <c r="C16" i="10"/>
  <c r="B16" i="10"/>
  <c r="C8" i="9" s="1"/>
  <c r="C4" i="9" l="1"/>
  <c r="G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E24" i="9" l="1"/>
  <c r="F16" i="9" s="1"/>
  <c r="H17" i="9" l="1"/>
  <c r="F23" i="9"/>
  <c r="H15" i="9"/>
  <c r="F19" i="9"/>
  <c r="H23" i="9"/>
  <c r="F15" i="9"/>
  <c r="H22" i="9"/>
  <c r="H16" i="9"/>
  <c r="H21" i="9"/>
  <c r="F21" i="9"/>
  <c r="F22" i="9"/>
  <c r="H20" i="9"/>
  <c r="F17" i="9"/>
  <c r="F18" i="9"/>
  <c r="H19" i="9"/>
  <c r="F20" i="9"/>
  <c r="H18" i="9"/>
  <c r="G15" i="3" l="1"/>
  <c r="H24" i="9"/>
  <c r="C9" i="9"/>
  <c r="C10" i="9" s="1"/>
  <c r="D8" i="3" l="1"/>
  <c r="C3" i="9" l="1"/>
  <c r="C7" i="9" s="1"/>
  <c r="I8" i="9" l="1"/>
  <c r="C11" i="9"/>
  <c r="C12" i="9" s="1"/>
  <c r="I19" i="9" l="1"/>
  <c r="J19" i="9" s="1"/>
  <c r="L19" i="9" s="1"/>
  <c r="K19" i="9" s="1"/>
  <c r="I21" i="9"/>
  <c r="J21" i="9" s="1"/>
  <c r="L21" i="9" s="1"/>
  <c r="K21" i="9" s="1"/>
  <c r="I23" i="9"/>
  <c r="J23" i="9" s="1"/>
  <c r="L23" i="9" s="1"/>
  <c r="K23" i="9" s="1"/>
  <c r="I16" i="9"/>
  <c r="J16" i="9" s="1"/>
  <c r="L16" i="9" s="1"/>
  <c r="K16" i="9" s="1"/>
  <c r="I20" i="9"/>
  <c r="J20" i="9" s="1"/>
  <c r="L20" i="9" s="1"/>
  <c r="K20" i="9" s="1"/>
  <c r="I22" i="9"/>
  <c r="J22" i="9" s="1"/>
  <c r="L22" i="9" s="1"/>
  <c r="K22" i="9" s="1"/>
  <c r="I17" i="9"/>
  <c r="J17" i="9" s="1"/>
  <c r="L17" i="9" s="1"/>
  <c r="K17" i="9" s="1"/>
  <c r="I18" i="9"/>
  <c r="J18" i="9" s="1"/>
  <c r="L18" i="9" s="1"/>
  <c r="K18" i="9" s="1"/>
  <c r="I15" i="9"/>
  <c r="J15" i="9" s="1"/>
  <c r="L15" i="9" l="1"/>
  <c r="K15" i="9" s="1"/>
  <c r="J2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B4" authorId="0" shapeId="0" xr:uid="{12A118F9-523F-451F-8197-DB441156616F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42 PERSONEL (araç işçisi personel sayısıdır, süpürge işçisi  dahil edilmemiştir.)
</t>
        </r>
      </text>
    </comment>
    <comment ref="B5" authorId="0" shapeId="0" xr:uid="{06BE2543-2B32-48A6-9D2D-F05564D9199A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22 şoför sadece çöp toplama işinde çalışan şoför sayısıdır. </t>
        </r>
      </text>
    </comment>
    <comment ref="B6" authorId="0" shapeId="0" xr:uid="{08993B2B-F72F-4E15-A05F-F27468B6F176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temiliksantiye</author>
  </authors>
  <commentList>
    <comment ref="G20" authorId="0" shapeId="0" xr:uid="{D546AE96-1B52-4CA5-8E94-751EC51F1B32}">
      <text>
        <r>
          <rPr>
            <b/>
            <sz val="9"/>
            <color indexed="81"/>
            <rFont val="Tahoma"/>
            <family val="2"/>
            <charset val="162"/>
          </rPr>
          <t>temiliksantiye:</t>
        </r>
        <r>
          <rPr>
            <sz val="9"/>
            <color indexed="81"/>
            <rFont val="Tahoma"/>
            <family val="2"/>
            <charset val="162"/>
          </rPr>
          <t xml:space="preserve">
fiyat farkı oranı
</t>
        </r>
      </text>
    </comment>
  </commentList>
</comments>
</file>

<file path=xl/sharedStrings.xml><?xml version="1.0" encoding="utf-8"?>
<sst xmlns="http://schemas.openxmlformats.org/spreadsheetml/2006/main" count="119" uniqueCount="87">
  <si>
    <t>TL</t>
  </si>
  <si>
    <t>Ton</t>
  </si>
  <si>
    <t>Br Maliyet</t>
  </si>
  <si>
    <t>Mesken Katı Atık Ton</t>
  </si>
  <si>
    <t>Mesken dışı katı atık Ton</t>
  </si>
  <si>
    <t xml:space="preserve">Mesken Atık </t>
  </si>
  <si>
    <t>Mesken dışı katı atık</t>
  </si>
  <si>
    <t>KATI ATIK GRUPLAR</t>
  </si>
  <si>
    <t>Ölçü Birimi</t>
  </si>
  <si>
    <t>Adet</t>
  </si>
  <si>
    <t>Tüketim/Birim</t>
  </si>
  <si>
    <t>Kılavuza göre hesaplanan Atık miktarı</t>
  </si>
  <si>
    <t>Toplam içindeki oranı</t>
  </si>
  <si>
    <t>Toplanan Atık Miktarı Ton</t>
  </si>
  <si>
    <t>Toplanan atık miktarı içindeki payı Ton</t>
  </si>
  <si>
    <t>Birim Maliyet Ton/TL</t>
  </si>
  <si>
    <t xml:space="preserve">Maliyet </t>
  </si>
  <si>
    <t>Aylık</t>
  </si>
  <si>
    <t>Yıllık</t>
  </si>
  <si>
    <t>OKULLAR</t>
  </si>
  <si>
    <t>Öğrenci</t>
  </si>
  <si>
    <t>HASTANELER</t>
  </si>
  <si>
    <t>Yatak Sayısı</t>
  </si>
  <si>
    <t>KAMU BİNALARI</t>
  </si>
  <si>
    <t>Personel Sayısı</t>
  </si>
  <si>
    <t>İŞYERİ,BÜRO, DEPO</t>
  </si>
  <si>
    <t>YEME, İÇME, EĞLENCE, RESTORAN</t>
  </si>
  <si>
    <t>Alan M2</t>
  </si>
  <si>
    <t>OTELLER</t>
  </si>
  <si>
    <t>DİĞER TİCARETHANELER</t>
  </si>
  <si>
    <t>SANAYİ İŞYERLERİ</t>
  </si>
  <si>
    <t>Ortalama Hane halkı</t>
  </si>
  <si>
    <t>TOPLAM</t>
  </si>
  <si>
    <t>Araç Cinsi</t>
  </si>
  <si>
    <t>Toplam</t>
  </si>
  <si>
    <t xml:space="preserve">SİSTEM MALİYETİ </t>
  </si>
  <si>
    <t>Araç maliyet (gün)</t>
  </si>
  <si>
    <r>
      <t>Orta Sıkıştırmalı Çöp Kamyonu (13 - 17 m</t>
    </r>
    <r>
      <rPr>
        <vertAlign val="superscript"/>
        <sz val="10"/>
        <rFont val="Arial Tur"/>
        <charset val="162"/>
      </rPr>
      <t>3</t>
    </r>
    <r>
      <rPr>
        <sz val="10"/>
        <rFont val="Arial Tur"/>
        <charset val="162"/>
      </rPr>
      <t>)</t>
    </r>
  </si>
  <si>
    <r>
      <t>Küçük Sıkıştırmalı Çöp Kamyonu (6 - 8 m</t>
    </r>
    <r>
      <rPr>
        <vertAlign val="superscript"/>
        <sz val="10"/>
        <rFont val="Arial Tur"/>
        <charset val="162"/>
      </rPr>
      <t>3</t>
    </r>
    <r>
      <rPr>
        <sz val="10"/>
        <rFont val="Arial Tur"/>
        <charset val="162"/>
      </rPr>
      <t>)</t>
    </r>
  </si>
  <si>
    <r>
      <t>Damperli Küçük Kamyonet (1,5 - 3 m</t>
    </r>
    <r>
      <rPr>
        <vertAlign val="superscript"/>
        <sz val="10"/>
        <rFont val="Arial Tur"/>
        <charset val="162"/>
      </rPr>
      <t>3</t>
    </r>
    <r>
      <rPr>
        <sz val="10"/>
        <rFont val="Arial Tur"/>
        <charset val="162"/>
      </rPr>
      <t xml:space="preserve">) </t>
    </r>
  </si>
  <si>
    <t>Çekici Kamyon</t>
  </si>
  <si>
    <r>
      <t>Semi Treyler (45 - 54 m</t>
    </r>
    <r>
      <rPr>
        <vertAlign val="superscript"/>
        <sz val="9"/>
        <rFont val="Arial Tur"/>
        <charset val="162"/>
      </rPr>
      <t>3</t>
    </r>
    <r>
      <rPr>
        <sz val="9"/>
        <rFont val="Arial Tur"/>
        <charset val="162"/>
      </rPr>
      <t>)</t>
    </r>
  </si>
  <si>
    <t>Fiyat Farkı</t>
  </si>
  <si>
    <t>Ay</t>
  </si>
  <si>
    <t>KATI ATIK BERTARAF ÜCRETİ</t>
  </si>
  <si>
    <t>AY / YIL</t>
  </si>
  <si>
    <t xml:space="preserve"> (TON)</t>
  </si>
  <si>
    <t>K.D.V. HARİÇ</t>
  </si>
  <si>
    <t>TAHAKKUK TUTARI</t>
  </si>
  <si>
    <t>Birlik Katılım Tutarı</t>
  </si>
  <si>
    <t>Araç maliyet (ay)</t>
  </si>
  <si>
    <t>Araç maliyet (9 ay)</t>
  </si>
  <si>
    <t>Araç maliyet (92 gün)</t>
  </si>
  <si>
    <t>FİYAT FARKI HESABI 2025</t>
  </si>
  <si>
    <t xml:space="preserve">Fiyat Farkı </t>
  </si>
  <si>
    <t>ARAÇ KİRALAM MALİYET HESABI (2025 YILI OCAK-EYLÜL DÖNEMİ) 2024/1052558</t>
  </si>
  <si>
    <t>ARAÇ KİRALAMA MALİYET HESABI (2025 EKİM - ARALIK DÖNEMİ) 2025/1107700</t>
  </si>
  <si>
    <t>Fiyat Farkı İçindeki Oran (Çöp Top.)</t>
  </si>
  <si>
    <t>elektrik bedeli 2024</t>
  </si>
  <si>
    <t>tahakkuk edilen ÇTV 2025</t>
  </si>
  <si>
    <t>PERSONEL</t>
  </si>
  <si>
    <t>PERSONEL SAYISI</t>
  </si>
  <si>
    <t>Kamyon arkası</t>
  </si>
  <si>
    <t>Şöför</t>
  </si>
  <si>
    <t>Büro</t>
  </si>
  <si>
    <t>işçilik hesabı 2025</t>
  </si>
  <si>
    <t>EPDK FYT</t>
  </si>
  <si>
    <t>Ocak- Ekim Arası (lt)</t>
  </si>
  <si>
    <t>Toplam Yakıt Gideri</t>
  </si>
  <si>
    <t>Kasım- Aralık (lt)</t>
  </si>
  <si>
    <t>TOPLAM ARAÇ MALİYETİ 2025 YILI</t>
  </si>
  <si>
    <t>araç maliyet hesabı 2025</t>
  </si>
  <si>
    <t>zonçeb bertaraf ücreti 2025</t>
  </si>
  <si>
    <t>Toplanan Katı Atık Ton 2025</t>
  </si>
  <si>
    <t>ARAÇ TÜRÜ</t>
  </si>
  <si>
    <t>Çöp Toplama Araçları</t>
  </si>
  <si>
    <t>ARAÇ AKARYAKIT GİDERLERİ KİRALIK VE BELEDİYE ARAÇLARI  2025</t>
  </si>
  <si>
    <t xml:space="preserve"> BELEDİYE ARAÇLARI BAKIM ONARIM GİDERLERİ  2025</t>
  </si>
  <si>
    <t>İŞÇİLİK HESABI (2025 YILI)</t>
  </si>
  <si>
    <t>Yevmiye Ocak - Haziran arası</t>
  </si>
  <si>
    <t>Yevmiye Temmuz - Aralık arası</t>
  </si>
  <si>
    <t>İkramiye Şubat- Mayıs</t>
  </si>
  <si>
    <t>İkramiye Ağustos - Kasım</t>
  </si>
  <si>
    <t>Brüt Yıllık Maaş Tutarı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</si>
  <si>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 : </t>
    </r>
    <r>
      <rPr>
        <sz val="11"/>
        <color theme="1"/>
        <rFont val="Calibri"/>
        <family val="2"/>
        <charset val="162"/>
        <scheme val="minor"/>
      </rPr>
      <t>Şubat (13 gün), Mayıs (13 gün), Ağustos (13 gün), Kasım (13 gün) aylarında verilen ikramiye tutarları da hesaba katılmıştır.</t>
    </r>
  </si>
  <si>
    <t>MESKENLER 46,555 ABONE</t>
  </si>
  <si>
    <t>KATI ATIK TABLO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</si>
</sst>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00"/>
    <numFmt numFmtId="165" formatCode="#,##0.000"/>
    <numFmt numFmtId="166" formatCode="&quot;₺&quot;#,##0.00"/>
  </numFmts>
  <fonts count="2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4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Arial Tur"/>
      <charset val="162"/>
    </font>
    <font>
      <vertAlign val="superscript"/>
      <sz val="10"/>
      <name val="Arial Tur"/>
      <charset val="162"/>
    </font>
    <font>
      <sz val="10"/>
      <name val="Times New Roman"/>
      <family val="1"/>
      <charset val="162"/>
    </font>
    <font>
      <sz val="9"/>
      <name val="Arial Tur"/>
      <charset val="162"/>
    </font>
    <font>
      <vertAlign val="superscript"/>
      <sz val="9"/>
      <name val="Arial Tur"/>
      <charset val="162"/>
    </font>
    <font>
      <b/>
      <sz val="11"/>
      <color rgb="FFFF0000"/>
      <name val="Calibri"/>
      <family val="2"/>
      <charset val="162"/>
      <scheme val="minor"/>
    </font>
    <font>
      <b/>
      <sz val="11"/>
      <color theme="4"/>
      <name val="Calibri"/>
      <family val="2"/>
      <charset val="162"/>
      <scheme val="minor"/>
    </font>
    <font>
      <sz val="10"/>
      <name val="Arial Tur"/>
      <family val="2"/>
      <charset val="162"/>
    </font>
    <font>
      <b/>
      <sz val="1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u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95">
    <xf numFmtId="0" fontId="0" fillId="0" borderId="0" xfId="0"/>
    <xf numFmtId="0" fontId="1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4" fontId="2" fillId="2" borderId="0" xfId="0" applyNumberFormat="1" applyFont="1" applyFill="1"/>
    <xf numFmtId="4" fontId="1" fillId="2" borderId="0" xfId="0" applyNumberFormat="1" applyFont="1" applyFill="1"/>
    <xf numFmtId="4" fontId="3" fillId="2" borderId="0" xfId="0" applyNumberFormat="1" applyFont="1" applyFill="1"/>
    <xf numFmtId="0" fontId="0" fillId="2" borderId="0" xfId="0" applyFill="1"/>
    <xf numFmtId="0" fontId="1" fillId="2" borderId="1" xfId="0" applyFont="1" applyFill="1" applyBorder="1" applyAlignment="1">
      <alignment vertical="justify"/>
    </xf>
    <xf numFmtId="4" fontId="1" fillId="2" borderId="1" xfId="0" applyNumberFormat="1" applyFont="1" applyFill="1" applyBorder="1" applyAlignment="1">
      <alignment vertical="justify"/>
    </xf>
    <xf numFmtId="164" fontId="1" fillId="2" borderId="1" xfId="0" applyNumberFormat="1" applyFont="1" applyFill="1" applyBorder="1" applyAlignment="1">
      <alignment vertical="justify"/>
    </xf>
    <xf numFmtId="0" fontId="1" fillId="2" borderId="1" xfId="0" applyFont="1" applyFill="1" applyBorder="1"/>
    <xf numFmtId="3" fontId="0" fillId="2" borderId="1" xfId="0" applyNumberFormat="1" applyFill="1" applyBorder="1"/>
    <xf numFmtId="165" fontId="0" fillId="2" borderId="1" xfId="0" applyNumberFormat="1" applyFill="1" applyBorder="1"/>
    <xf numFmtId="4" fontId="0" fillId="2" borderId="1" xfId="0" applyNumberFormat="1" applyFill="1" applyBorder="1"/>
    <xf numFmtId="164" fontId="0" fillId="2" borderId="1" xfId="0" applyNumberFormat="1" applyFill="1" applyBorder="1"/>
    <xf numFmtId="4" fontId="1" fillId="2" borderId="1" xfId="0" applyNumberFormat="1" applyFont="1" applyFill="1" applyBorder="1"/>
    <xf numFmtId="164" fontId="1" fillId="2" borderId="1" xfId="0" applyNumberFormat="1" applyFont="1" applyFill="1" applyBorder="1"/>
    <xf numFmtId="1" fontId="0" fillId="0" borderId="1" xfId="0" applyNumberFormat="1" applyBorder="1" applyAlignment="1">
      <alignment horizontal="center"/>
    </xf>
    <xf numFmtId="4" fontId="0" fillId="0" borderId="0" xfId="0" applyNumberFormat="1"/>
    <xf numFmtId="4" fontId="9" fillId="0" borderId="1" xfId="0" applyNumberFormat="1" applyFont="1" applyBorder="1" applyAlignment="1">
      <alignment horizontal="center"/>
    </xf>
    <xf numFmtId="4" fontId="9" fillId="2" borderId="0" xfId="0" applyNumberFormat="1" applyFont="1" applyFill="1"/>
    <xf numFmtId="4" fontId="10" fillId="2" borderId="0" xfId="0" applyNumberFormat="1" applyFont="1" applyFill="1"/>
    <xf numFmtId="4" fontId="9" fillId="0" borderId="0" xfId="0" applyNumberFormat="1" applyFont="1"/>
    <xf numFmtId="4" fontId="1" fillId="0" borderId="1" xfId="0" applyNumberFormat="1" applyFont="1" applyBorder="1"/>
    <xf numFmtId="4" fontId="1" fillId="0" borderId="0" xfId="0" applyNumberFormat="1" applyFont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/>
    <xf numFmtId="4" fontId="0" fillId="0" borderId="0" xfId="0" applyNumberFormat="1" applyAlignment="1">
      <alignment horizontal="center"/>
    </xf>
    <xf numFmtId="0" fontId="4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4" fillId="0" borderId="0" xfId="0" applyFont="1"/>
    <xf numFmtId="166" fontId="0" fillId="0" borderId="0" xfId="0" applyNumberFormat="1"/>
    <xf numFmtId="166" fontId="0" fillId="0" borderId="1" xfId="0" applyNumberFormat="1" applyBorder="1"/>
    <xf numFmtId="0" fontId="0" fillId="0" borderId="1" xfId="0" applyBorder="1"/>
    <xf numFmtId="166" fontId="6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17" fontId="0" fillId="0" borderId="0" xfId="0" applyNumberFormat="1" applyAlignment="1">
      <alignment horizontal="left"/>
    </xf>
    <xf numFmtId="17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/>
    <xf numFmtId="166" fontId="0" fillId="3" borderId="1" xfId="0" applyNumberFormat="1" applyFill="1" applyBorder="1"/>
    <xf numFmtId="166" fontId="1" fillId="3" borderId="1" xfId="0" applyNumberFormat="1" applyFont="1" applyFill="1" applyBorder="1"/>
    <xf numFmtId="166" fontId="1" fillId="3" borderId="0" xfId="0" applyNumberFormat="1" applyFont="1" applyFill="1"/>
    <xf numFmtId="4" fontId="15" fillId="3" borderId="1" xfId="0" applyNumberFormat="1" applyFont="1" applyFill="1" applyBorder="1"/>
    <xf numFmtId="166" fontId="19" fillId="0" borderId="1" xfId="0" applyNumberFormat="1" applyFont="1" applyBorder="1" applyAlignment="1">
      <alignment horizontal="center"/>
    </xf>
    <xf numFmtId="166" fontId="19" fillId="0" borderId="0" xfId="0" applyNumberFormat="1" applyFont="1"/>
    <xf numFmtId="0" fontId="19" fillId="0" borderId="0" xfId="0" applyFont="1"/>
    <xf numFmtId="0" fontId="19" fillId="3" borderId="0" xfId="0" applyFont="1" applyFill="1"/>
    <xf numFmtId="0" fontId="20" fillId="0" borderId="1" xfId="0" applyFont="1" applyBorder="1" applyAlignment="1">
      <alignment horizontal="center"/>
    </xf>
    <xf numFmtId="17" fontId="19" fillId="0" borderId="1" xfId="0" applyNumberFormat="1" applyFont="1" applyBorder="1"/>
    <xf numFmtId="166" fontId="19" fillId="0" borderId="1" xfId="0" applyNumberFormat="1" applyFont="1" applyBorder="1"/>
    <xf numFmtId="0" fontId="19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/>
    <xf numFmtId="1" fontId="20" fillId="0" borderId="1" xfId="0" applyNumberFormat="1" applyFont="1" applyBorder="1"/>
    <xf numFmtId="4" fontId="20" fillId="0" borderId="1" xfId="0" applyNumberFormat="1" applyFont="1" applyBorder="1"/>
    <xf numFmtId="166" fontId="1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 vertical="center" wrapText="1"/>
    </xf>
    <xf numFmtId="4" fontId="12" fillId="2" borderId="7" xfId="1" applyNumberFormat="1" applyFont="1" applyFill="1" applyBorder="1" applyAlignment="1">
      <alignment horizontal="right"/>
    </xf>
    <xf numFmtId="0" fontId="13" fillId="2" borderId="0" xfId="0" applyFont="1" applyFill="1"/>
    <xf numFmtId="4" fontId="13" fillId="3" borderId="1" xfId="0" applyNumberFormat="1" applyFont="1" applyFill="1" applyBorder="1"/>
    <xf numFmtId="4" fontId="6" fillId="2" borderId="0" xfId="1" applyNumberFormat="1" applyFont="1" applyFill="1" applyAlignment="1">
      <alignment horizontal="center"/>
    </xf>
    <xf numFmtId="4" fontId="19" fillId="2" borderId="0" xfId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66" fontId="12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4" fontId="19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3" xfId="0" applyBorder="1" applyAlignment="1">
      <alignment horizontal="left"/>
    </xf>
  </cellXfs>
  <cellStyles count="2">
    <cellStyle name="Normal" xfId="0" builtinId="0"/>
    <cellStyle name="Normal 3" xfId="1" xr:uid="{A130135E-E59B-467C-BEC7-F369D43AF8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192F-0EA5-4C7D-9E71-0C36ED0BD94B}">
  <dimension ref="A1:L28"/>
  <sheetViews>
    <sheetView tabSelected="1" workbookViewId="0">
      <selection activeCell="F3" sqref="F3"/>
    </sheetView>
  </sheetViews>
  <sheetFormatPr defaultRowHeight="15" x14ac:dyDescent="0.25"/>
  <cols>
    <col min="1" max="1" width="30.42578125" bestFit="1" customWidth="1"/>
    <col min="2" max="2" width="24.7109375" bestFit="1" customWidth="1"/>
    <col min="3" max="3" width="13.85546875" bestFit="1" customWidth="1"/>
    <col min="5" max="5" width="10.140625" bestFit="1" customWidth="1"/>
    <col min="6" max="6" width="11.42578125" bestFit="1" customWidth="1"/>
    <col min="10" max="10" width="13.85546875" bestFit="1" customWidth="1"/>
  </cols>
  <sheetData>
    <row r="1" spans="1:12" x14ac:dyDescent="0.25">
      <c r="A1" s="1" t="s">
        <v>86</v>
      </c>
      <c r="B1" s="1"/>
      <c r="C1" s="2"/>
      <c r="D1" s="2"/>
      <c r="E1" s="2"/>
      <c r="F1" s="3"/>
      <c r="G1" s="2"/>
      <c r="H1" s="2"/>
      <c r="I1" s="2"/>
      <c r="J1" s="2"/>
      <c r="K1" s="2"/>
      <c r="L1" s="2"/>
    </row>
    <row r="2" spans="1:12" x14ac:dyDescent="0.25">
      <c r="A2" s="1"/>
      <c r="B2" s="1" t="s">
        <v>65</v>
      </c>
      <c r="C2" s="23">
        <f>'işçilik 2025'!G7</f>
        <v>52678216.68</v>
      </c>
      <c r="D2" s="2" t="s">
        <v>0</v>
      </c>
      <c r="E2" s="2"/>
      <c r="F2" s="3"/>
      <c r="G2" s="2"/>
      <c r="H2" s="2"/>
      <c r="I2" s="2"/>
      <c r="J2" s="2"/>
      <c r="K2" s="2"/>
      <c r="L2" s="2"/>
    </row>
    <row r="3" spans="1:12" x14ac:dyDescent="0.25">
      <c r="A3" s="1"/>
      <c r="B3" s="1" t="s">
        <v>71</v>
      </c>
      <c r="C3" s="20">
        <f>'araç 2025'!D41</f>
        <v>44944132.31696</v>
      </c>
      <c r="D3" s="2" t="s">
        <v>0</v>
      </c>
      <c r="E3" s="2"/>
      <c r="F3" s="3"/>
      <c r="G3" s="2"/>
      <c r="H3" s="2"/>
      <c r="I3" s="2"/>
      <c r="J3" s="2"/>
      <c r="K3" s="2"/>
      <c r="L3" s="2"/>
    </row>
    <row r="4" spans="1:12" x14ac:dyDescent="0.25">
      <c r="A4" s="1"/>
      <c r="B4" s="1" t="s">
        <v>72</v>
      </c>
      <c r="C4" s="21">
        <f>ZONÇEB!D17</f>
        <v>667532.21</v>
      </c>
      <c r="D4" s="2" t="s">
        <v>0</v>
      </c>
      <c r="E4" s="2"/>
      <c r="F4" s="3"/>
      <c r="G4" s="2"/>
      <c r="H4" s="2"/>
      <c r="I4" s="2"/>
      <c r="J4" s="2"/>
      <c r="K4" s="2"/>
      <c r="L4" s="2"/>
    </row>
    <row r="5" spans="1:12" x14ac:dyDescent="0.25">
      <c r="A5" s="1"/>
      <c r="B5" s="1" t="s">
        <v>58</v>
      </c>
      <c r="C5" s="4">
        <v>1770059</v>
      </c>
      <c r="D5" s="2" t="s">
        <v>0</v>
      </c>
      <c r="E5" s="2"/>
      <c r="F5" s="3"/>
      <c r="G5" s="2"/>
      <c r="H5" s="2"/>
      <c r="I5" s="2"/>
      <c r="J5" s="2"/>
      <c r="K5" s="2"/>
      <c r="L5" s="2"/>
    </row>
    <row r="6" spans="1:12" x14ac:dyDescent="0.25">
      <c r="A6" s="1"/>
      <c r="B6" s="1" t="s">
        <v>59</v>
      </c>
      <c r="C6" s="22">
        <v>7200000</v>
      </c>
      <c r="D6" s="2" t="s">
        <v>0</v>
      </c>
      <c r="E6" s="2"/>
      <c r="F6" s="3"/>
      <c r="G6" s="2"/>
      <c r="H6" s="2"/>
      <c r="I6" s="2"/>
      <c r="J6" s="2"/>
      <c r="K6" s="2"/>
      <c r="L6" s="2"/>
    </row>
    <row r="7" spans="1:12" x14ac:dyDescent="0.25">
      <c r="A7" s="1"/>
      <c r="B7" s="1" t="s">
        <v>35</v>
      </c>
      <c r="C7" s="5">
        <f>C2+C3+C4-C5-C6</f>
        <v>89319822.206959993</v>
      </c>
      <c r="D7" s="2" t="s">
        <v>0</v>
      </c>
      <c r="E7" s="2"/>
      <c r="F7" s="3"/>
      <c r="G7" s="2"/>
      <c r="H7" s="2"/>
      <c r="I7" s="2"/>
      <c r="J7" s="2"/>
      <c r="K7" s="2"/>
      <c r="L7" s="2"/>
    </row>
    <row r="8" spans="1:12" x14ac:dyDescent="0.25">
      <c r="A8" s="1"/>
      <c r="B8" s="1" t="s">
        <v>73</v>
      </c>
      <c r="C8" s="6">
        <f>ZONÇEB!B16</f>
        <v>45608.729999999996</v>
      </c>
      <c r="D8" s="2" t="s">
        <v>1</v>
      </c>
      <c r="E8" s="2"/>
      <c r="F8" s="3"/>
      <c r="G8" s="2"/>
      <c r="H8" s="5" t="s">
        <v>2</v>
      </c>
      <c r="I8" s="2">
        <f>C7/C8</f>
        <v>1958.3931016487413</v>
      </c>
      <c r="J8" s="2" t="s">
        <v>0</v>
      </c>
      <c r="K8" s="2"/>
      <c r="L8" s="2"/>
    </row>
    <row r="9" spans="1:12" x14ac:dyDescent="0.25">
      <c r="A9" s="1"/>
      <c r="B9" s="1" t="s">
        <v>3</v>
      </c>
      <c r="C9" s="2">
        <f>C8*F23</f>
        <v>31538.243938041571</v>
      </c>
      <c r="D9" s="2" t="s">
        <v>1</v>
      </c>
      <c r="E9" s="2"/>
      <c r="F9" s="3"/>
      <c r="G9" s="2"/>
      <c r="H9" s="2"/>
      <c r="I9" s="2"/>
      <c r="J9" s="2"/>
      <c r="K9" s="2"/>
      <c r="L9" s="2"/>
    </row>
    <row r="10" spans="1:12" x14ac:dyDescent="0.25">
      <c r="A10" s="1"/>
      <c r="B10" s="1" t="s">
        <v>4</v>
      </c>
      <c r="C10" s="2">
        <f>C8-C9</f>
        <v>14070.486061958425</v>
      </c>
      <c r="D10" s="2" t="s">
        <v>1</v>
      </c>
      <c r="E10" s="2"/>
      <c r="F10" s="3"/>
      <c r="G10" s="2"/>
      <c r="H10" s="2"/>
      <c r="I10" s="2"/>
      <c r="J10" s="2"/>
      <c r="K10" s="2"/>
      <c r="L10" s="2"/>
    </row>
    <row r="11" spans="1:12" x14ac:dyDescent="0.25">
      <c r="A11" s="1"/>
      <c r="B11" s="1" t="s">
        <v>5</v>
      </c>
      <c r="C11" s="5">
        <f>C7*F23</f>
        <v>61764279.366375849</v>
      </c>
      <c r="D11" s="2" t="s">
        <v>0</v>
      </c>
      <c r="E11" s="2"/>
      <c r="F11" s="3"/>
      <c r="G11" s="2"/>
      <c r="H11" s="2"/>
      <c r="I11" s="2"/>
      <c r="J11" s="2"/>
      <c r="K11" s="2"/>
      <c r="L11" s="2"/>
    </row>
    <row r="12" spans="1:12" x14ac:dyDescent="0.25">
      <c r="A12" s="1"/>
      <c r="B12" s="1" t="s">
        <v>6</v>
      </c>
      <c r="C12" s="5">
        <f>C7-C11</f>
        <v>27555542.840584144</v>
      </c>
      <c r="D12" s="2" t="s">
        <v>0</v>
      </c>
      <c r="E12" s="2"/>
      <c r="F12" s="3"/>
      <c r="G12" s="2"/>
      <c r="H12" s="2"/>
      <c r="I12" s="2"/>
      <c r="J12" s="2"/>
      <c r="K12" s="2"/>
      <c r="L12" s="2"/>
    </row>
    <row r="13" spans="1:12" x14ac:dyDescent="0.25">
      <c r="A13" s="1"/>
      <c r="B13" s="7"/>
      <c r="C13" s="2"/>
      <c r="D13" s="2"/>
      <c r="E13" s="2"/>
      <c r="F13" s="3"/>
      <c r="G13" s="2"/>
      <c r="H13" s="2"/>
      <c r="I13" s="2"/>
      <c r="J13" s="2"/>
      <c r="K13" s="2"/>
      <c r="L13" s="2"/>
    </row>
    <row r="14" spans="1:12" ht="75" x14ac:dyDescent="0.25">
      <c r="A14" s="8" t="s">
        <v>7</v>
      </c>
      <c r="B14" s="8" t="s">
        <v>8</v>
      </c>
      <c r="C14" s="9" t="s">
        <v>9</v>
      </c>
      <c r="D14" s="9" t="s">
        <v>10</v>
      </c>
      <c r="E14" s="9" t="s">
        <v>11</v>
      </c>
      <c r="F14" s="10" t="s">
        <v>12</v>
      </c>
      <c r="G14" s="9" t="s">
        <v>13</v>
      </c>
      <c r="H14" s="9" t="s">
        <v>14</v>
      </c>
      <c r="I14" s="9" t="s">
        <v>15</v>
      </c>
      <c r="J14" s="9" t="s">
        <v>16</v>
      </c>
      <c r="K14" s="9" t="s">
        <v>17</v>
      </c>
      <c r="L14" s="9" t="s">
        <v>18</v>
      </c>
    </row>
    <row r="15" spans="1:12" x14ac:dyDescent="0.25">
      <c r="A15" s="11" t="s">
        <v>19</v>
      </c>
      <c r="B15" s="11" t="s">
        <v>20</v>
      </c>
      <c r="C15" s="12">
        <v>28427</v>
      </c>
      <c r="D15" s="13">
        <v>6.5000000000000002E-2</v>
      </c>
      <c r="E15" s="14">
        <f>C15*D15</f>
        <v>1847.7550000000001</v>
      </c>
      <c r="F15" s="15">
        <f>E15/E24</f>
        <v>1.0762852870629596E-2</v>
      </c>
      <c r="G15" s="14">
        <f>C8</f>
        <v>45608.729999999996</v>
      </c>
      <c r="H15" s="14">
        <f>E15*(G24/E24)</f>
        <v>490.88005060627012</v>
      </c>
      <c r="I15" s="14">
        <f>I8</f>
        <v>1958.3931016487413</v>
      </c>
      <c r="J15" s="14">
        <f>H15*I15</f>
        <v>961336.10484430438</v>
      </c>
      <c r="K15" s="16">
        <f>L15/12</f>
        <v>2.8181426837288033</v>
      </c>
      <c r="L15" s="16">
        <f>J15/C15</f>
        <v>33.817712204745639</v>
      </c>
    </row>
    <row r="16" spans="1:12" x14ac:dyDescent="0.25">
      <c r="A16" s="11" t="s">
        <v>21</v>
      </c>
      <c r="B16" s="11" t="s">
        <v>22</v>
      </c>
      <c r="C16" s="12">
        <v>1168</v>
      </c>
      <c r="D16" s="13">
        <v>1.278</v>
      </c>
      <c r="E16" s="14">
        <f>C16*D16</f>
        <v>1492.704</v>
      </c>
      <c r="F16" s="15">
        <f>E16/E24</f>
        <v>8.6947422853139496E-3</v>
      </c>
      <c r="G16" s="14">
        <f>C8</f>
        <v>45608.729999999996</v>
      </c>
      <c r="H16" s="14">
        <f>E16*(G24/E24)</f>
        <v>396.55615331046687</v>
      </c>
      <c r="I16" s="14">
        <f>I8</f>
        <v>1958.3931016487413</v>
      </c>
      <c r="J16" s="14">
        <f t="shared" ref="J16:J23" si="0">H16*I16</f>
        <v>776612.835059579</v>
      </c>
      <c r="K16" s="16">
        <f t="shared" ref="K16:K23" si="1">L16/12</f>
        <v>55.409020766237084</v>
      </c>
      <c r="L16" s="16">
        <f t="shared" ref="L16:L22" si="2">J16/C16</f>
        <v>664.90824919484498</v>
      </c>
    </row>
    <row r="17" spans="1:12" x14ac:dyDescent="0.25">
      <c r="A17" s="11" t="s">
        <v>23</v>
      </c>
      <c r="B17" s="11" t="s">
        <v>24</v>
      </c>
      <c r="C17" s="12">
        <v>6900</v>
      </c>
      <c r="D17" s="13">
        <v>1.6</v>
      </c>
      <c r="E17" s="14">
        <f t="shared" ref="E17:E23" si="3">C17*D17</f>
        <v>11040</v>
      </c>
      <c r="F17" s="15">
        <f>E17/E24</f>
        <v>6.4306088032098807E-2</v>
      </c>
      <c r="G17" s="14">
        <f>C8</f>
        <v>45608.729999999996</v>
      </c>
      <c r="H17" s="14">
        <f>E17*(G24/E24)</f>
        <v>2932.9190064122254</v>
      </c>
      <c r="I17" s="14">
        <f>I8</f>
        <v>1958.3931016487413</v>
      </c>
      <c r="J17" s="14">
        <f t="shared" si="0"/>
        <v>5743808.3498521829</v>
      </c>
      <c r="K17" s="16">
        <f t="shared" si="1"/>
        <v>69.369666061016702</v>
      </c>
      <c r="L17" s="16">
        <f t="shared" si="2"/>
        <v>832.43599273220048</v>
      </c>
    </row>
    <row r="18" spans="1:12" x14ac:dyDescent="0.25">
      <c r="A18" s="11" t="s">
        <v>25</v>
      </c>
      <c r="B18" s="11" t="s">
        <v>24</v>
      </c>
      <c r="C18" s="12">
        <v>6605</v>
      </c>
      <c r="D18" s="13">
        <v>0.27700000000000002</v>
      </c>
      <c r="E18" s="14">
        <f t="shared" si="3"/>
        <v>1829.5850000000003</v>
      </c>
      <c r="F18" s="15">
        <f>E18/E24</f>
        <v>1.06570157674101E-2</v>
      </c>
      <c r="G18" s="14">
        <f>C8</f>
        <v>45608.729999999996</v>
      </c>
      <c r="H18" s="14">
        <f>E18*(G24/E24)</f>
        <v>486.05295474155002</v>
      </c>
      <c r="I18" s="14">
        <f>I8</f>
        <v>1958.3931016487413</v>
      </c>
      <c r="J18" s="14">
        <f t="shared" si="0"/>
        <v>951882.75360183942</v>
      </c>
      <c r="K18" s="16">
        <f t="shared" si="1"/>
        <v>12.009623436813518</v>
      </c>
      <c r="L18" s="16">
        <f t="shared" si="2"/>
        <v>144.11548124176221</v>
      </c>
    </row>
    <row r="19" spans="1:12" x14ac:dyDescent="0.25">
      <c r="A19" s="11" t="s">
        <v>26</v>
      </c>
      <c r="B19" s="11" t="s">
        <v>27</v>
      </c>
      <c r="C19" s="12">
        <v>55285</v>
      </c>
      <c r="D19" s="13">
        <v>0.61</v>
      </c>
      <c r="E19" s="14">
        <f t="shared" si="3"/>
        <v>33723.85</v>
      </c>
      <c r="F19" s="15">
        <f>E19/E24</f>
        <v>0.19643558576823325</v>
      </c>
      <c r="G19" s="14">
        <f>C8</f>
        <v>45608.729999999996</v>
      </c>
      <c r="H19" s="14">
        <f>E19*(G24/E24)</f>
        <v>8959.1775936951926</v>
      </c>
      <c r="I19" s="14">
        <f>I8</f>
        <v>1958.3931016487413</v>
      </c>
      <c r="J19" s="14">
        <f t="shared" si="0"/>
        <v>17545591.595938634</v>
      </c>
      <c r="K19" s="16">
        <f t="shared" si="1"/>
        <v>26.447185185762617</v>
      </c>
      <c r="L19" s="16">
        <f t="shared" si="2"/>
        <v>317.36622222915139</v>
      </c>
    </row>
    <row r="20" spans="1:12" x14ac:dyDescent="0.25">
      <c r="A20" s="11" t="s">
        <v>28</v>
      </c>
      <c r="B20" s="11" t="s">
        <v>22</v>
      </c>
      <c r="C20" s="12">
        <v>787</v>
      </c>
      <c r="D20" s="13">
        <v>0.98399999999999999</v>
      </c>
      <c r="E20" s="14">
        <f t="shared" si="3"/>
        <v>774.40800000000002</v>
      </c>
      <c r="F20" s="15">
        <f>E20/E24</f>
        <v>4.5107924837646347E-3</v>
      </c>
      <c r="G20" s="14">
        <f>C8</f>
        <v>45608.729999999996</v>
      </c>
      <c r="H20" s="14">
        <f>E20*(G24/E24)</f>
        <v>205.73151647805062</v>
      </c>
      <c r="I20" s="14">
        <f>I8</f>
        <v>1958.3931016487413</v>
      </c>
      <c r="J20" s="14">
        <f t="shared" si="0"/>
        <v>402903.18266234867</v>
      </c>
      <c r="K20" s="16">
        <f t="shared" si="1"/>
        <v>42.662344627525272</v>
      </c>
      <c r="L20" s="16">
        <f t="shared" si="2"/>
        <v>511.94813553030326</v>
      </c>
    </row>
    <row r="21" spans="1:12" x14ac:dyDescent="0.25">
      <c r="A21" s="11" t="s">
        <v>29</v>
      </c>
      <c r="B21" s="11" t="s">
        <v>24</v>
      </c>
      <c r="C21" s="12">
        <f>515+137</f>
        <v>652</v>
      </c>
      <c r="D21" s="13">
        <v>1.5109999999999999</v>
      </c>
      <c r="E21" s="14">
        <f t="shared" si="3"/>
        <v>985.17199999999991</v>
      </c>
      <c r="F21" s="15">
        <f>E21/E24</f>
        <v>5.7384562824962715E-3</v>
      </c>
      <c r="G21" s="14">
        <f>C8</f>
        <v>45608.729999999996</v>
      </c>
      <c r="H21" s="14">
        <f>E21*(G24/E24)</f>
        <v>261.72370320517615</v>
      </c>
      <c r="I21" s="14">
        <f>I8</f>
        <v>1958.3931016487413</v>
      </c>
      <c r="J21" s="14">
        <f t="shared" si="0"/>
        <v>512557.89489497954</v>
      </c>
      <c r="K21" s="16">
        <f t="shared" si="1"/>
        <v>65.510978386372642</v>
      </c>
      <c r="L21" s="16">
        <f t="shared" si="2"/>
        <v>786.1317406364717</v>
      </c>
    </row>
    <row r="22" spans="1:12" x14ac:dyDescent="0.25">
      <c r="A22" s="11" t="s">
        <v>30</v>
      </c>
      <c r="B22" s="11" t="s">
        <v>24</v>
      </c>
      <c r="C22" s="12">
        <v>348</v>
      </c>
      <c r="D22" s="13">
        <v>3.65</v>
      </c>
      <c r="E22" s="14">
        <f t="shared" si="3"/>
        <v>1270.2</v>
      </c>
      <c r="F22" s="15">
        <f>E22/E24</f>
        <v>7.3986950197800633E-3</v>
      </c>
      <c r="G22" s="14">
        <f>C8</f>
        <v>45608.729999999996</v>
      </c>
      <c r="H22" s="14">
        <f>E22*(G24/E24)</f>
        <v>337.44508350949354</v>
      </c>
      <c r="I22" s="14">
        <f>I8</f>
        <v>1958.3931016487413</v>
      </c>
      <c r="J22" s="14">
        <f t="shared" si="0"/>
        <v>660850.12373027555</v>
      </c>
      <c r="K22" s="16">
        <f t="shared" si="1"/>
        <v>158.24955070169435</v>
      </c>
      <c r="L22" s="16">
        <f t="shared" si="2"/>
        <v>1898.994608420332</v>
      </c>
    </row>
    <row r="23" spans="1:12" x14ac:dyDescent="0.25">
      <c r="A23" s="11" t="s">
        <v>85</v>
      </c>
      <c r="B23" s="11" t="s">
        <v>31</v>
      </c>
      <c r="C23" s="12">
        <v>139665</v>
      </c>
      <c r="D23" s="13">
        <v>0.85</v>
      </c>
      <c r="E23" s="14">
        <f t="shared" si="3"/>
        <v>118715.25</v>
      </c>
      <c r="F23" s="15">
        <f>E23/E24</f>
        <v>0.6914957714902733</v>
      </c>
      <c r="G23" s="14">
        <f>C8</f>
        <v>45608.729999999996</v>
      </c>
      <c r="H23" s="14">
        <f>E23*(G24/E24)</f>
        <v>31538.243938041571</v>
      </c>
      <c r="I23" s="14">
        <f>I8</f>
        <v>1958.3931016487413</v>
      </c>
      <c r="J23" s="14">
        <f t="shared" si="0"/>
        <v>61764279.366375849</v>
      </c>
      <c r="K23" s="16">
        <f t="shared" si="1"/>
        <v>110.55790528474536</v>
      </c>
      <c r="L23" s="16">
        <f>(J23/C23)*3</f>
        <v>1326.6948634169444</v>
      </c>
    </row>
    <row r="24" spans="1:12" x14ac:dyDescent="0.25">
      <c r="A24" s="11"/>
      <c r="B24" s="11" t="s">
        <v>32</v>
      </c>
      <c r="C24" s="16"/>
      <c r="D24" s="16"/>
      <c r="E24" s="16">
        <f>SUM(E15:E23)</f>
        <v>171678.924</v>
      </c>
      <c r="F24" s="17" t="s">
        <v>0</v>
      </c>
      <c r="G24" s="16">
        <f>C8</f>
        <v>45608.729999999996</v>
      </c>
      <c r="H24" s="16">
        <f>SUM(H15:H23)</f>
        <v>45608.729999999996</v>
      </c>
      <c r="I24" s="16"/>
      <c r="J24" s="16">
        <f>SUM(J15:J23)</f>
        <v>89319822.206959993</v>
      </c>
      <c r="K24" s="16" t="s">
        <v>0</v>
      </c>
      <c r="L24" s="16"/>
    </row>
    <row r="27" spans="1:12" ht="15.75" x14ac:dyDescent="0.25">
      <c r="G27" s="31"/>
      <c r="H27" s="31"/>
    </row>
    <row r="28" spans="1:12" ht="15.75" x14ac:dyDescent="0.25">
      <c r="G28" s="31"/>
      <c r="H28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workbookViewId="0">
      <selection activeCell="G18" sqref="G18"/>
    </sheetView>
  </sheetViews>
  <sheetFormatPr defaultRowHeight="15" x14ac:dyDescent="0.25"/>
  <cols>
    <col min="1" max="1" width="13.7109375" bestFit="1" customWidth="1"/>
    <col min="2" max="2" width="21.7109375" customWidth="1"/>
    <col min="3" max="3" width="13.85546875" customWidth="1"/>
    <col min="4" max="4" width="12.7109375" customWidth="1"/>
    <col min="5" max="5" width="14.7109375" customWidth="1"/>
    <col min="6" max="6" width="17.42578125" bestFit="1" customWidth="1"/>
    <col min="7" max="7" width="12.85546875" customWidth="1"/>
    <col min="8" max="8" width="11.7109375" bestFit="1" customWidth="1"/>
    <col min="9" max="9" width="11.5703125" bestFit="1" customWidth="1"/>
    <col min="10" max="10" width="11" customWidth="1"/>
    <col min="11" max="12" width="12.7109375" bestFit="1" customWidth="1"/>
  </cols>
  <sheetData>
    <row r="1" spans="1:11" x14ac:dyDescent="0.25">
      <c r="J1" s="25"/>
      <c r="K1" s="25"/>
    </row>
    <row r="2" spans="1:11" x14ac:dyDescent="0.25">
      <c r="A2" s="77" t="s">
        <v>78</v>
      </c>
      <c r="B2" s="77"/>
      <c r="C2" s="77"/>
      <c r="D2" s="77"/>
      <c r="E2" s="77"/>
      <c r="F2" s="77"/>
      <c r="G2" s="77"/>
      <c r="H2" s="77"/>
      <c r="I2" s="78"/>
    </row>
    <row r="3" spans="1:11" ht="45" x14ac:dyDescent="0.25">
      <c r="A3" s="55" t="s">
        <v>60</v>
      </c>
      <c r="B3" s="74" t="s">
        <v>61</v>
      </c>
      <c r="C3" s="75" t="s">
        <v>79</v>
      </c>
      <c r="D3" s="75" t="s">
        <v>80</v>
      </c>
      <c r="E3" s="75" t="s">
        <v>81</v>
      </c>
      <c r="F3" s="75" t="s">
        <v>82</v>
      </c>
      <c r="G3" s="75" t="s">
        <v>83</v>
      </c>
    </row>
    <row r="4" spans="1:11" x14ac:dyDescent="0.25">
      <c r="A4" s="58" t="s">
        <v>62</v>
      </c>
      <c r="B4" s="18">
        <v>42</v>
      </c>
      <c r="C4" s="76">
        <v>1769.62</v>
      </c>
      <c r="D4" s="76">
        <v>1999.67</v>
      </c>
      <c r="E4" s="76">
        <f>C4*26</f>
        <v>46010.119999999995</v>
      </c>
      <c r="F4" s="76">
        <f>D4*26</f>
        <v>51991.42</v>
      </c>
      <c r="G4" s="76">
        <f>(C4*181*B4)+(E4*B4)+(D4*184*B4)+(F4*B4)</f>
        <v>33022165.68</v>
      </c>
    </row>
    <row r="5" spans="1:11" x14ac:dyDescent="0.25">
      <c r="A5" s="58" t="s">
        <v>63</v>
      </c>
      <c r="B5" s="18">
        <v>22</v>
      </c>
      <c r="C5" s="76">
        <v>1769.62</v>
      </c>
      <c r="D5" s="76">
        <v>1999.67</v>
      </c>
      <c r="E5" s="76">
        <f t="shared" ref="E5:F6" si="0">C5*26</f>
        <v>46010.119999999995</v>
      </c>
      <c r="F5" s="76">
        <f t="shared" si="0"/>
        <v>51991.42</v>
      </c>
      <c r="G5" s="76">
        <f t="shared" ref="G5:G6" si="1">(C5*181*B5)+(E5*B5)+(D5*184*B5)+(F5*B5)</f>
        <v>17297324.879999999</v>
      </c>
    </row>
    <row r="6" spans="1:11" x14ac:dyDescent="0.25">
      <c r="A6" s="58" t="s">
        <v>64</v>
      </c>
      <c r="B6" s="18">
        <v>3</v>
      </c>
      <c r="C6" s="76">
        <v>1769.62</v>
      </c>
      <c r="D6" s="76">
        <v>1999.67</v>
      </c>
      <c r="E6" s="76">
        <f t="shared" si="0"/>
        <v>46010.119999999995</v>
      </c>
      <c r="F6" s="76">
        <f t="shared" si="0"/>
        <v>51991.42</v>
      </c>
      <c r="G6" s="76">
        <f t="shared" si="1"/>
        <v>2358726.12</v>
      </c>
    </row>
    <row r="7" spans="1:11" x14ac:dyDescent="0.25">
      <c r="A7" s="58"/>
      <c r="B7" s="18">
        <f>SUM(B4:B6)</f>
        <v>67</v>
      </c>
      <c r="C7" s="79" t="s">
        <v>34</v>
      </c>
      <c r="D7" s="79"/>
      <c r="E7" s="79"/>
      <c r="F7" s="79"/>
      <c r="G7" s="56">
        <f>SUM(G4:G6)</f>
        <v>52678216.68</v>
      </c>
    </row>
    <row r="9" spans="1:11" ht="28.5" customHeight="1" x14ac:dyDescent="0.25"/>
    <row r="10" spans="1:11" x14ac:dyDescent="0.25">
      <c r="A10" s="80" t="s">
        <v>84</v>
      </c>
      <c r="B10" s="80"/>
      <c r="C10" s="80"/>
      <c r="D10" s="80"/>
      <c r="E10" s="80"/>
      <c r="F10" s="80"/>
      <c r="G10" s="80"/>
      <c r="H10" s="80"/>
    </row>
  </sheetData>
  <mergeCells count="3">
    <mergeCell ref="A2:I2"/>
    <mergeCell ref="C7:F7"/>
    <mergeCell ref="A10:H10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workbookViewId="0">
      <selection activeCell="D41" sqref="D41"/>
    </sheetView>
  </sheetViews>
  <sheetFormatPr defaultRowHeight="15" x14ac:dyDescent="0.25"/>
  <cols>
    <col min="1" max="1" width="37.28515625" bestFit="1" customWidth="1"/>
    <col min="2" max="2" width="10.140625" customWidth="1"/>
    <col min="3" max="3" width="18.5703125" customWidth="1"/>
    <col min="4" max="4" width="20.140625" bestFit="1" customWidth="1"/>
    <col min="5" max="5" width="17.7109375" customWidth="1"/>
    <col min="6" max="6" width="15.140625" customWidth="1"/>
    <col min="7" max="7" width="14" bestFit="1" customWidth="1"/>
    <col min="8" max="8" width="14.140625" customWidth="1"/>
  </cols>
  <sheetData>
    <row r="1" spans="1:7" x14ac:dyDescent="0.25">
      <c r="A1" s="88" t="s">
        <v>55</v>
      </c>
      <c r="B1" s="89"/>
      <c r="C1" s="89"/>
      <c r="D1" s="89"/>
      <c r="E1" s="25"/>
      <c r="F1" s="90" t="s">
        <v>53</v>
      </c>
      <c r="G1" s="90"/>
    </row>
    <row r="2" spans="1:7" x14ac:dyDescent="0.25">
      <c r="A2" s="26" t="s">
        <v>33</v>
      </c>
      <c r="B2" s="27" t="s">
        <v>9</v>
      </c>
      <c r="C2" s="24" t="s">
        <v>50</v>
      </c>
      <c r="D2" s="24" t="s">
        <v>51</v>
      </c>
      <c r="E2" s="28"/>
      <c r="F2" s="51" t="s">
        <v>43</v>
      </c>
      <c r="G2" s="51" t="s">
        <v>42</v>
      </c>
    </row>
    <row r="3" spans="1:7" x14ac:dyDescent="0.25">
      <c r="A3" s="29" t="s">
        <v>37</v>
      </c>
      <c r="B3" s="18">
        <v>4</v>
      </c>
      <c r="C3" s="33">
        <v>930000</v>
      </c>
      <c r="D3" s="35">
        <f>C3*9</f>
        <v>8370000</v>
      </c>
      <c r="E3" s="28"/>
      <c r="F3" s="52">
        <v>45658</v>
      </c>
      <c r="G3" s="53">
        <v>0</v>
      </c>
    </row>
    <row r="4" spans="1:7" x14ac:dyDescent="0.25">
      <c r="A4" s="29" t="s">
        <v>38</v>
      </c>
      <c r="B4" s="18">
        <v>4</v>
      </c>
      <c r="C4" s="33">
        <v>905000</v>
      </c>
      <c r="D4" s="35">
        <f t="shared" ref="D4:D7" si="0">C4*9</f>
        <v>8145000</v>
      </c>
      <c r="E4" s="28"/>
      <c r="F4" s="52">
        <v>45689</v>
      </c>
      <c r="G4" s="53">
        <v>0</v>
      </c>
    </row>
    <row r="5" spans="1:7" x14ac:dyDescent="0.25">
      <c r="A5" s="29" t="s">
        <v>39</v>
      </c>
      <c r="B5" s="18">
        <v>3</v>
      </c>
      <c r="C5" s="36">
        <v>195000</v>
      </c>
      <c r="D5" s="35">
        <f t="shared" si="0"/>
        <v>1755000</v>
      </c>
      <c r="E5" s="28"/>
      <c r="F5" s="52">
        <v>45717</v>
      </c>
      <c r="G5" s="53">
        <v>0</v>
      </c>
    </row>
    <row r="6" spans="1:7" x14ac:dyDescent="0.25">
      <c r="A6" s="30" t="s">
        <v>40</v>
      </c>
      <c r="B6" s="18">
        <v>1</v>
      </c>
      <c r="C6" s="36">
        <v>300000</v>
      </c>
      <c r="D6" s="35">
        <f t="shared" si="0"/>
        <v>2700000</v>
      </c>
      <c r="E6" s="28"/>
      <c r="F6" s="52">
        <v>45748</v>
      </c>
      <c r="G6" s="53">
        <v>0</v>
      </c>
    </row>
    <row r="7" spans="1:7" x14ac:dyDescent="0.25">
      <c r="A7" s="30" t="s">
        <v>41</v>
      </c>
      <c r="B7" s="18">
        <v>2</v>
      </c>
      <c r="C7" s="33">
        <v>120000</v>
      </c>
      <c r="D7" s="35">
        <f t="shared" si="0"/>
        <v>1080000</v>
      </c>
      <c r="E7" s="25"/>
      <c r="F7" s="52">
        <v>45778</v>
      </c>
      <c r="G7" s="53">
        <v>0</v>
      </c>
    </row>
    <row r="8" spans="1:7" x14ac:dyDescent="0.25">
      <c r="C8" s="56" t="s">
        <v>32</v>
      </c>
      <c r="D8" s="64">
        <f>SUM(D3:D7)</f>
        <v>22050000</v>
      </c>
      <c r="F8" s="52">
        <v>45809</v>
      </c>
      <c r="G8" s="53">
        <v>0</v>
      </c>
    </row>
    <row r="9" spans="1:7" x14ac:dyDescent="0.25">
      <c r="C9" s="70"/>
      <c r="D9" s="71"/>
      <c r="E9" s="25"/>
      <c r="F9" s="52">
        <v>45839</v>
      </c>
      <c r="G9" s="53">
        <v>0</v>
      </c>
    </row>
    <row r="10" spans="1:7" x14ac:dyDescent="0.25">
      <c r="C10" s="70"/>
      <c r="D10" s="72"/>
      <c r="F10" s="52">
        <v>45870</v>
      </c>
      <c r="G10" s="53">
        <v>0</v>
      </c>
    </row>
    <row r="11" spans="1:7" x14ac:dyDescent="0.25">
      <c r="C11" s="19"/>
      <c r="F11" s="52">
        <v>45901</v>
      </c>
      <c r="G11" s="53">
        <v>0</v>
      </c>
    </row>
    <row r="12" spans="1:7" x14ac:dyDescent="0.25">
      <c r="A12" s="88" t="s">
        <v>56</v>
      </c>
      <c r="B12" s="89"/>
      <c r="C12" s="89"/>
      <c r="D12" s="89"/>
      <c r="F12" s="52">
        <v>45931</v>
      </c>
      <c r="G12" s="53">
        <f>236863.01*0.67</f>
        <v>158698.21670000002</v>
      </c>
    </row>
    <row r="13" spans="1:7" x14ac:dyDescent="0.25">
      <c r="A13" s="26" t="s">
        <v>33</v>
      </c>
      <c r="B13" s="27" t="s">
        <v>9</v>
      </c>
      <c r="C13" s="24" t="s">
        <v>36</v>
      </c>
      <c r="D13" s="24" t="s">
        <v>52</v>
      </c>
      <c r="F13" s="52">
        <v>45962</v>
      </c>
      <c r="G13" s="53">
        <v>160000</v>
      </c>
    </row>
    <row r="14" spans="1:7" x14ac:dyDescent="0.25">
      <c r="A14" s="29" t="s">
        <v>37</v>
      </c>
      <c r="B14" s="18">
        <v>4</v>
      </c>
      <c r="C14" s="33">
        <v>54525.55</v>
      </c>
      <c r="D14" s="35">
        <f>C14*92</f>
        <v>5016350.6000000006</v>
      </c>
      <c r="F14" s="52">
        <v>45992</v>
      </c>
      <c r="G14" s="53">
        <v>160000</v>
      </c>
    </row>
    <row r="15" spans="1:7" x14ac:dyDescent="0.25">
      <c r="A15" s="29" t="s">
        <v>38</v>
      </c>
      <c r="B15" s="18">
        <v>4</v>
      </c>
      <c r="C15" s="33">
        <v>51240.88</v>
      </c>
      <c r="D15" s="35">
        <f t="shared" ref="D15:D18" si="1">C15*92</f>
        <v>4714160.96</v>
      </c>
      <c r="F15" s="54" t="s">
        <v>34</v>
      </c>
      <c r="G15" s="53">
        <f>SUM(G3:G14)</f>
        <v>478698.21669999999</v>
      </c>
    </row>
    <row r="16" spans="1:7" x14ac:dyDescent="0.25">
      <c r="A16" s="29" t="s">
        <v>39</v>
      </c>
      <c r="B16" s="18">
        <v>3</v>
      </c>
      <c r="C16" s="36">
        <v>19708.03</v>
      </c>
      <c r="D16" s="35">
        <f t="shared" si="1"/>
        <v>1813138.7599999998</v>
      </c>
    </row>
    <row r="17" spans="1:8" x14ac:dyDescent="0.25">
      <c r="A17" s="30" t="s">
        <v>40</v>
      </c>
      <c r="B17" s="18">
        <v>1</v>
      </c>
      <c r="C17" s="36">
        <v>18065.689999999999</v>
      </c>
      <c r="D17" s="35">
        <f t="shared" si="1"/>
        <v>1662043.48</v>
      </c>
    </row>
    <row r="18" spans="1:8" x14ac:dyDescent="0.25">
      <c r="A18" s="30" t="s">
        <v>41</v>
      </c>
      <c r="B18" s="18">
        <v>2</v>
      </c>
      <c r="C18" s="33">
        <v>6569.34</v>
      </c>
      <c r="D18" s="35">
        <f t="shared" si="1"/>
        <v>604379.28</v>
      </c>
      <c r="F18" s="91" t="s">
        <v>57</v>
      </c>
      <c r="G18" s="91"/>
    </row>
    <row r="19" spans="1:8" x14ac:dyDescent="0.25">
      <c r="A19" s="34" t="s">
        <v>54</v>
      </c>
      <c r="B19" s="34"/>
      <c r="C19" s="34"/>
      <c r="D19" s="47">
        <v>478698.22</v>
      </c>
      <c r="F19" s="48">
        <v>4653394.1605839413</v>
      </c>
      <c r="G19" s="49">
        <v>0.66998256725884631</v>
      </c>
    </row>
    <row r="20" spans="1:8" x14ac:dyDescent="0.25">
      <c r="C20" s="56" t="s">
        <v>32</v>
      </c>
      <c r="D20" s="64">
        <f>SUM(D14:D19)</f>
        <v>14288771.300000001</v>
      </c>
      <c r="F20" s="48">
        <v>6945545.1350364946</v>
      </c>
      <c r="G20" s="50">
        <v>0.67</v>
      </c>
      <c r="H20" s="32"/>
    </row>
    <row r="21" spans="1:8" x14ac:dyDescent="0.25">
      <c r="C21" s="70"/>
      <c r="D21" s="71"/>
      <c r="F21" s="32"/>
    </row>
    <row r="22" spans="1:8" x14ac:dyDescent="0.25">
      <c r="C22" s="70"/>
      <c r="D22" s="72"/>
      <c r="F22" s="32"/>
    </row>
    <row r="23" spans="1:8" x14ac:dyDescent="0.25">
      <c r="F23" s="32"/>
    </row>
    <row r="24" spans="1:8" x14ac:dyDescent="0.25">
      <c r="F24" s="32"/>
    </row>
    <row r="25" spans="1:8" x14ac:dyDescent="0.25">
      <c r="A25" s="92" t="s">
        <v>76</v>
      </c>
      <c r="B25" s="92"/>
      <c r="C25" s="92"/>
      <c r="D25" s="92"/>
      <c r="E25" s="92"/>
      <c r="F25" s="32"/>
    </row>
    <row r="26" spans="1:8" x14ac:dyDescent="0.25">
      <c r="A26" s="60" t="s">
        <v>33</v>
      </c>
      <c r="B26" s="61" t="s">
        <v>66</v>
      </c>
      <c r="C26" s="62" t="s">
        <v>67</v>
      </c>
      <c r="D26" s="62" t="s">
        <v>69</v>
      </c>
      <c r="E26" s="60" t="s">
        <v>68</v>
      </c>
      <c r="F26" s="32"/>
    </row>
    <row r="27" spans="1:8" x14ac:dyDescent="0.25">
      <c r="A27" s="29" t="s">
        <v>37</v>
      </c>
      <c r="B27" s="57">
        <f>49.23*0.8</f>
        <v>39.384</v>
      </c>
      <c r="C27" s="58">
        <v>167831.2</v>
      </c>
      <c r="D27" s="59">
        <f>(C27/10)*2</f>
        <v>33566.240000000005</v>
      </c>
      <c r="E27" s="63">
        <f>(C27+D27)*B27</f>
        <v>7931836.7769600004</v>
      </c>
      <c r="F27" s="32"/>
    </row>
    <row r="28" spans="1:8" x14ac:dyDescent="0.25">
      <c r="F28" s="32"/>
      <c r="G28" s="32"/>
      <c r="H28" s="32"/>
    </row>
    <row r="29" spans="1:8" x14ac:dyDescent="0.25">
      <c r="F29" s="32"/>
      <c r="G29" s="32"/>
      <c r="H29" s="32"/>
    </row>
    <row r="30" spans="1:8" x14ac:dyDescent="0.25">
      <c r="A30" s="82" t="s">
        <v>77</v>
      </c>
      <c r="B30" s="82"/>
      <c r="C30" s="82"/>
      <c r="D30" s="82"/>
    </row>
    <row r="31" spans="1:8" x14ac:dyDescent="0.25">
      <c r="A31" s="51" t="s">
        <v>74</v>
      </c>
      <c r="B31" s="81" t="s">
        <v>32</v>
      </c>
      <c r="C31" s="81"/>
      <c r="D31" s="81"/>
      <c r="E31" s="32"/>
      <c r="F31" s="32"/>
    </row>
    <row r="32" spans="1:8" x14ac:dyDescent="0.25">
      <c r="A32" s="73" t="s">
        <v>75</v>
      </c>
      <c r="B32" s="86">
        <f>(772320.5+12000+12000.96+12000+11886.24+21697.6)*0.8</f>
        <v>673524.24</v>
      </c>
      <c r="C32" s="86"/>
      <c r="D32" s="86"/>
    </row>
    <row r="33" spans="1:7" x14ac:dyDescent="0.25">
      <c r="A33" s="65" t="s">
        <v>32</v>
      </c>
      <c r="B33" s="83">
        <f>SUM(B32)</f>
        <v>673524.24</v>
      </c>
      <c r="C33" s="84"/>
      <c r="D33" s="84"/>
      <c r="F33" s="32"/>
    </row>
    <row r="34" spans="1:7" x14ac:dyDescent="0.25">
      <c r="A34" s="68"/>
      <c r="B34" s="87"/>
      <c r="C34" s="87"/>
      <c r="D34" s="87"/>
      <c r="F34" s="19"/>
    </row>
    <row r="35" spans="1:7" x14ac:dyDescent="0.25">
      <c r="A35" s="68"/>
      <c r="B35" s="87"/>
      <c r="C35" s="87"/>
      <c r="D35" s="87"/>
      <c r="F35" s="32"/>
      <c r="G35" s="32"/>
    </row>
    <row r="36" spans="1:7" x14ac:dyDescent="0.25">
      <c r="A36" s="68"/>
      <c r="B36" s="87"/>
      <c r="C36" s="87"/>
      <c r="D36" s="87"/>
    </row>
    <row r="37" spans="1:7" x14ac:dyDescent="0.25">
      <c r="A37" s="68"/>
      <c r="B37" s="87"/>
      <c r="C37" s="87"/>
      <c r="D37" s="87"/>
    </row>
    <row r="38" spans="1:7" x14ac:dyDescent="0.25">
      <c r="A38" s="69"/>
      <c r="B38" s="87"/>
      <c r="C38" s="87"/>
      <c r="D38" s="87"/>
    </row>
    <row r="41" spans="1:7" ht="26.25" customHeight="1" x14ac:dyDescent="0.35">
      <c r="A41" s="85" t="s">
        <v>70</v>
      </c>
      <c r="B41" s="85"/>
      <c r="C41" s="85"/>
      <c r="D41" s="67">
        <f>D8+D20+E27+B33</f>
        <v>44944132.31696</v>
      </c>
    </row>
    <row r="42" spans="1:7" ht="15" customHeight="1" x14ac:dyDescent="0.35">
      <c r="A42" s="66"/>
      <c r="B42" s="66"/>
      <c r="C42" s="66"/>
      <c r="D42" s="66"/>
    </row>
  </sheetData>
  <mergeCells count="15">
    <mergeCell ref="A1:D1"/>
    <mergeCell ref="F1:G1"/>
    <mergeCell ref="A12:D12"/>
    <mergeCell ref="F18:G18"/>
    <mergeCell ref="A25:E25"/>
    <mergeCell ref="B31:D31"/>
    <mergeCell ref="A30:D30"/>
    <mergeCell ref="B33:D33"/>
    <mergeCell ref="A41:C41"/>
    <mergeCell ref="B32:D32"/>
    <mergeCell ref="B34:D34"/>
    <mergeCell ref="B35:D35"/>
    <mergeCell ref="B36:D36"/>
    <mergeCell ref="B37:D37"/>
    <mergeCell ref="B38:D38"/>
  </mergeCells>
  <phoneticPr fontId="16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1897-7F44-484C-BAC0-260568BD0801}">
  <dimension ref="A1:D18"/>
  <sheetViews>
    <sheetView workbookViewId="0">
      <selection sqref="A1:D1"/>
    </sheetView>
  </sheetViews>
  <sheetFormatPr defaultRowHeight="15" x14ac:dyDescent="0.25"/>
  <cols>
    <col min="3" max="3" width="12.28515625" bestFit="1" customWidth="1"/>
    <col min="4" max="4" width="17.5703125" bestFit="1" customWidth="1"/>
  </cols>
  <sheetData>
    <row r="1" spans="1:4" x14ac:dyDescent="0.25">
      <c r="A1" s="93" t="s">
        <v>44</v>
      </c>
      <c r="B1" s="93"/>
      <c r="C1" s="93"/>
      <c r="D1" s="93"/>
    </row>
    <row r="2" spans="1:4" x14ac:dyDescent="0.25">
      <c r="A2" s="37" t="s">
        <v>45</v>
      </c>
      <c r="B2" s="38" t="s">
        <v>46</v>
      </c>
      <c r="C2" s="37" t="s">
        <v>47</v>
      </c>
      <c r="D2" s="39" t="s">
        <v>48</v>
      </c>
    </row>
    <row r="3" spans="1:4" x14ac:dyDescent="0.25">
      <c r="A3" s="40">
        <v>45658</v>
      </c>
      <c r="B3" s="94" t="s">
        <v>49</v>
      </c>
      <c r="C3" s="94"/>
      <c r="D3" s="32">
        <v>667532.21</v>
      </c>
    </row>
    <row r="4" spans="1:4" x14ac:dyDescent="0.25">
      <c r="A4" s="41">
        <v>45658</v>
      </c>
      <c r="B4" s="42">
        <v>3265.95</v>
      </c>
      <c r="C4" s="43"/>
      <c r="D4" s="43"/>
    </row>
    <row r="5" spans="1:4" x14ac:dyDescent="0.25">
      <c r="A5" s="41">
        <v>45689</v>
      </c>
      <c r="B5" s="42">
        <v>2686</v>
      </c>
      <c r="C5" s="43"/>
      <c r="D5" s="43"/>
    </row>
    <row r="6" spans="1:4" x14ac:dyDescent="0.25">
      <c r="A6" s="41">
        <v>45717</v>
      </c>
      <c r="B6" s="42">
        <v>3884.6</v>
      </c>
      <c r="C6" s="43"/>
      <c r="D6" s="43"/>
    </row>
    <row r="7" spans="1:4" x14ac:dyDescent="0.25">
      <c r="A7" s="41">
        <v>45748</v>
      </c>
      <c r="B7" s="42">
        <v>3275</v>
      </c>
      <c r="C7" s="43"/>
      <c r="D7" s="43"/>
    </row>
    <row r="8" spans="1:4" x14ac:dyDescent="0.25">
      <c r="A8" s="41">
        <v>45778</v>
      </c>
      <c r="B8" s="42">
        <v>5149.3</v>
      </c>
      <c r="C8" s="43"/>
      <c r="D8" s="43"/>
    </row>
    <row r="9" spans="1:4" x14ac:dyDescent="0.25">
      <c r="A9" s="41">
        <v>45809</v>
      </c>
      <c r="B9" s="42">
        <v>3653.2</v>
      </c>
      <c r="C9" s="43"/>
      <c r="D9" s="43"/>
    </row>
    <row r="10" spans="1:4" x14ac:dyDescent="0.25">
      <c r="A10" s="41">
        <v>45839</v>
      </c>
      <c r="B10" s="42">
        <v>4161</v>
      </c>
      <c r="C10" s="43"/>
      <c r="D10" s="43"/>
    </row>
    <row r="11" spans="1:4" x14ac:dyDescent="0.25">
      <c r="A11" s="41">
        <v>45870</v>
      </c>
      <c r="B11" s="42">
        <v>3958.18</v>
      </c>
      <c r="C11" s="43"/>
      <c r="D11" s="43"/>
    </row>
    <row r="12" spans="1:4" x14ac:dyDescent="0.25">
      <c r="A12" s="41">
        <v>45901</v>
      </c>
      <c r="B12" s="42">
        <v>4175.5</v>
      </c>
      <c r="C12" s="43"/>
      <c r="D12" s="43"/>
    </row>
    <row r="13" spans="1:4" x14ac:dyDescent="0.25">
      <c r="A13" s="41">
        <v>45931</v>
      </c>
      <c r="B13" s="46">
        <v>3800</v>
      </c>
      <c r="C13" s="43"/>
      <c r="D13" s="43"/>
    </row>
    <row r="14" spans="1:4" x14ac:dyDescent="0.25">
      <c r="A14" s="41">
        <v>45962</v>
      </c>
      <c r="B14" s="46">
        <v>3800</v>
      </c>
      <c r="C14" s="43"/>
      <c r="D14" s="43"/>
    </row>
    <row r="15" spans="1:4" x14ac:dyDescent="0.25">
      <c r="A15" s="41">
        <v>45992</v>
      </c>
      <c r="B15" s="46">
        <v>3800</v>
      </c>
      <c r="C15" s="43"/>
      <c r="D15" s="43"/>
    </row>
    <row r="16" spans="1:4" x14ac:dyDescent="0.25">
      <c r="A16" s="37" t="s">
        <v>32</v>
      </c>
      <c r="B16" s="42">
        <f>SUM(B4:B15)</f>
        <v>45608.729999999996</v>
      </c>
      <c r="C16" s="43">
        <f>SUM(C4:C15)</f>
        <v>0</v>
      </c>
      <c r="D16" s="44">
        <f>SUM(D4:D15)</f>
        <v>0</v>
      </c>
    </row>
    <row r="17" spans="1:4" x14ac:dyDescent="0.25">
      <c r="A17" s="80"/>
      <c r="B17" s="80"/>
      <c r="C17" s="80"/>
      <c r="D17" s="45">
        <f>D16+D3</f>
        <v>667532.21</v>
      </c>
    </row>
    <row r="18" spans="1:4" x14ac:dyDescent="0.25">
      <c r="A18" s="80"/>
      <c r="B18" s="80"/>
      <c r="C18" s="80"/>
    </row>
  </sheetData>
  <mergeCells count="3">
    <mergeCell ref="A1:D1"/>
    <mergeCell ref="B3:C3"/>
    <mergeCell ref="A17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katıatık2025</vt:lpstr>
      <vt:lpstr>işçilik 2025</vt:lpstr>
      <vt:lpstr>araç 2025</vt:lpstr>
      <vt:lpstr>ZONÇEB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Günay Kabacalı</cp:lastModifiedBy>
  <cp:lastPrinted>2022-11-09T07:48:22Z</cp:lastPrinted>
  <dcterms:created xsi:type="dcterms:W3CDTF">2019-11-09T08:22:48Z</dcterms:created>
  <dcterms:modified xsi:type="dcterms:W3CDTF">2025-11-24T11:32:49Z</dcterms:modified>
</cp:coreProperties>
</file>